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 firstSheet="2" activeTab="5"/>
  </bookViews>
  <sheets>
    <sheet name="NPV" sheetId="5" r:id="rId1"/>
    <sheet name="Problema da escala" sheetId="1" r:id="rId2"/>
    <sheet name="Problema da dist FlCx no tempo" sheetId="4" r:id="rId3"/>
    <sheet name="Comparacao de Projetos Independ" sheetId="3" r:id="rId4"/>
    <sheet name="VPL e restrições de capital" sheetId="6" r:id="rId5"/>
    <sheet name="Substituicao de ativos" sheetId="7" r:id="rId6"/>
  </sheets>
  <calcPr calcId="145621"/>
</workbook>
</file>

<file path=xl/calcChain.xml><?xml version="1.0" encoding="utf-8"?>
<calcChain xmlns="http://schemas.openxmlformats.org/spreadsheetml/2006/main">
  <c r="G18" i="7" l="1"/>
  <c r="G17" i="7"/>
  <c r="G16" i="7"/>
  <c r="G15" i="7"/>
  <c r="G14" i="7"/>
  <c r="F18" i="7"/>
  <c r="F17" i="7"/>
  <c r="F16" i="7"/>
  <c r="F15" i="7"/>
  <c r="F5" i="7"/>
  <c r="F9" i="7"/>
  <c r="F8" i="7"/>
  <c r="F7" i="7"/>
  <c r="F6" i="7"/>
  <c r="F14" i="7"/>
  <c r="E18" i="7"/>
  <c r="E17" i="7"/>
  <c r="E16" i="7"/>
  <c r="E15" i="7"/>
  <c r="E14" i="7"/>
  <c r="D16" i="7"/>
  <c r="D17" i="7"/>
  <c r="D18" i="7"/>
  <c r="D15" i="7"/>
  <c r="D14" i="7"/>
  <c r="C16" i="7"/>
  <c r="C17" i="7"/>
  <c r="C18" i="7"/>
  <c r="C15" i="7"/>
  <c r="C14" i="7"/>
  <c r="L15" i="6"/>
  <c r="D11" i="6"/>
  <c r="D10" i="6"/>
  <c r="C11" i="6"/>
  <c r="C10" i="6"/>
  <c r="B10" i="6"/>
  <c r="B11" i="6"/>
  <c r="E11" i="6" s="1"/>
  <c r="E10" i="6"/>
  <c r="E9" i="3"/>
  <c r="D9" i="3"/>
  <c r="C9" i="3"/>
  <c r="B9" i="3"/>
  <c r="G7" i="5"/>
  <c r="H7" i="5"/>
  <c r="I7" i="5"/>
  <c r="I6" i="5" s="1"/>
  <c r="J7" i="5"/>
  <c r="K7" i="5"/>
  <c r="K6" i="5" s="1"/>
  <c r="G9" i="5"/>
  <c r="H9" i="5"/>
  <c r="I9" i="5"/>
  <c r="J9" i="5"/>
  <c r="K9" i="5"/>
  <c r="G10" i="5"/>
  <c r="H10" i="5"/>
  <c r="I10" i="5"/>
  <c r="J10" i="5"/>
  <c r="K10" i="5"/>
  <c r="G11" i="5"/>
  <c r="H11" i="5"/>
  <c r="I11" i="5"/>
  <c r="J11" i="5"/>
  <c r="K11" i="5"/>
  <c r="G12" i="5"/>
  <c r="H12" i="5"/>
  <c r="I12" i="5"/>
  <c r="J12" i="5"/>
  <c r="K12" i="5"/>
  <c r="E12" i="5"/>
  <c r="D12" i="5"/>
  <c r="E11" i="5"/>
  <c r="D11" i="5"/>
  <c r="E10" i="5"/>
  <c r="D10" i="5"/>
  <c r="E9" i="5"/>
  <c r="D9" i="5"/>
  <c r="E7" i="5"/>
  <c r="D7" i="5"/>
  <c r="E6" i="5"/>
  <c r="D6" i="5"/>
  <c r="C12" i="5"/>
  <c r="C11" i="5"/>
  <c r="C10" i="5"/>
  <c r="C9" i="5"/>
  <c r="C7" i="5"/>
  <c r="C6" i="5" s="1"/>
  <c r="F12" i="5"/>
  <c r="F11" i="5"/>
  <c r="F10" i="5"/>
  <c r="F9" i="5"/>
  <c r="F7" i="5"/>
  <c r="J6" i="5" l="1"/>
  <c r="H6" i="5"/>
  <c r="G6" i="5"/>
  <c r="F6" i="5"/>
  <c r="D28" i="3"/>
  <c r="D27" i="3"/>
  <c r="D26" i="3"/>
  <c r="C28" i="3"/>
  <c r="C27" i="3"/>
  <c r="C26" i="3"/>
  <c r="B28" i="3"/>
  <c r="E28" i="3" s="1"/>
  <c r="B27" i="3"/>
  <c r="E27" i="3" s="1"/>
  <c r="B26" i="3"/>
  <c r="E26" i="3" s="1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D18" i="4"/>
  <c r="C18" i="4"/>
  <c r="B18" i="4"/>
  <c r="F7" i="4"/>
  <c r="E7" i="4"/>
  <c r="F6" i="4"/>
  <c r="E6" i="4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9" i="1"/>
  <c r="B44" i="1"/>
  <c r="B45" i="1"/>
  <c r="B46" i="1"/>
  <c r="B47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9" i="1"/>
  <c r="E18" i="1"/>
  <c r="D18" i="1"/>
  <c r="C18" i="1"/>
  <c r="B18" i="1"/>
  <c r="G18" i="1" s="1"/>
  <c r="D23" i="1" s="1"/>
  <c r="G7" i="1"/>
  <c r="G6" i="1"/>
  <c r="F7" i="1"/>
  <c r="F6" i="1"/>
  <c r="D22" i="1" l="1"/>
  <c r="F18" i="1"/>
  <c r="E18" i="4"/>
  <c r="F18" i="4"/>
  <c r="D22" i="4" l="1"/>
  <c r="D23" i="4"/>
</calcChain>
</file>

<file path=xl/sharedStrings.xml><?xml version="1.0" encoding="utf-8"?>
<sst xmlns="http://schemas.openxmlformats.org/spreadsheetml/2006/main" count="157" uniqueCount="64">
  <si>
    <t>PROJETOS MUTUAMENTE EXCLUDENTES</t>
  </si>
  <si>
    <t>O PROBLEMA DA ESCALA</t>
  </si>
  <si>
    <t>Investimento</t>
  </si>
  <si>
    <t>Ano 0</t>
  </si>
  <si>
    <t>Ano 1</t>
  </si>
  <si>
    <t>Ano 2</t>
  </si>
  <si>
    <t>Ano 3</t>
  </si>
  <si>
    <t>A</t>
  </si>
  <si>
    <t>B</t>
  </si>
  <si>
    <t>NPV</t>
  </si>
  <si>
    <t>TIR</t>
  </si>
  <si>
    <t>Taxa de retorno requerida:</t>
  </si>
  <si>
    <t>Análise incremental dos investimentos</t>
  </si>
  <si>
    <t>Investimento B - Investimento A</t>
  </si>
  <si>
    <t>NPV incremental</t>
  </si>
  <si>
    <t>TIR incremental</t>
  </si>
  <si>
    <t>Pelo critério da TIR o melhor é:</t>
  </si>
  <si>
    <t>Pelo critério do VPL o melhor é:</t>
  </si>
  <si>
    <t>$13,9 é o custo máximo a mais que B pode ter em relação a A para que mantenha a preferência</t>
  </si>
  <si>
    <t>21,3% é a taxa que torna os valores presentes líquidos iguais</t>
  </si>
  <si>
    <t>VPL de A à taxa incremental:</t>
  </si>
  <si>
    <t>VPL de B à taxa incremental:</t>
  </si>
  <si>
    <t>Visualizando graficamente a solução</t>
  </si>
  <si>
    <t>Taxa de desconto</t>
  </si>
  <si>
    <t>VPLs</t>
  </si>
  <si>
    <t>O PROBLEMA DA DISTRIBUIÇÃO DOS FLUXOS DE CAIXA NO TEMPO</t>
  </si>
  <si>
    <t>E</t>
  </si>
  <si>
    <t>F</t>
  </si>
  <si>
    <t>COMPARAÇÃO DE PROJETOS INDEPENDENTES</t>
  </si>
  <si>
    <t>Fluxos de Caixa</t>
  </si>
  <si>
    <t>Projeto</t>
  </si>
  <si>
    <t>C</t>
  </si>
  <si>
    <t>Ano 4</t>
  </si>
  <si>
    <t>Ano 5</t>
  </si>
  <si>
    <t>IL</t>
  </si>
  <si>
    <t>TR</t>
  </si>
  <si>
    <t>Decisão</t>
  </si>
  <si>
    <t>Taxa de retorno requerido:</t>
  </si>
  <si>
    <t>Aceitar</t>
  </si>
  <si>
    <t>Rejeitar</t>
  </si>
  <si>
    <t>Investimento F - Investimento E</t>
  </si>
  <si>
    <t>Exemplo pag. 156</t>
  </si>
  <si>
    <t>Investimento:</t>
  </si>
  <si>
    <t>Benefícios anuais de caixa:</t>
  </si>
  <si>
    <t>Ano1:</t>
  </si>
  <si>
    <t>Ano 2:</t>
  </si>
  <si>
    <t>Ano 3:</t>
  </si>
  <si>
    <t>Ano 4:</t>
  </si>
  <si>
    <t>a.a.</t>
  </si>
  <si>
    <t>Taxas de retorno:</t>
  </si>
  <si>
    <t>NPV =</t>
  </si>
  <si>
    <t>TIR =</t>
  </si>
  <si>
    <t>VPL e restrições de capital</t>
  </si>
  <si>
    <t>D</t>
  </si>
  <si>
    <t>SUBSTITUIÇÃO DE ATIVOS</t>
  </si>
  <si>
    <t>Valor de revenda</t>
  </si>
  <si>
    <t>Custos Operacionais</t>
  </si>
  <si>
    <t>Taxa</t>
  </si>
  <si>
    <t>(1)
Inv. Bruto
(Custo/Ano)</t>
  </si>
  <si>
    <t>(2)
Valor de Revenda
(Custo/Ano)</t>
  </si>
  <si>
    <t>(3) = (1) - (2)
Inv. Líquido
(Custo/Ano)</t>
  </si>
  <si>
    <t>(5) = (3) + (4)
Custo Total Anual
($/Ano)</t>
  </si>
  <si>
    <t>(4)
Custos Operacionais
($/Ano)</t>
  </si>
  <si>
    <t>VP dos custos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</si>
</sst>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164" formatCode="[$$-1004]#,##0.00_);[Red]\([$$-1004]#,##0.00\)"/>
    <numFmt numFmtId="165" formatCode="[$$-1004]#,##0.0_);[Red]\([$$-1004]#,##0.0\)"/>
    <numFmt numFmtId="166" formatCode="[$$-1004]#,##0_);[Red]\([$$-1004]#,##0\)"/>
    <numFmt numFmtId="167" formatCode="0.0%"/>
    <numFmt numFmtId="168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167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/>
    <xf numFmtId="0" fontId="1" fillId="0" borderId="0" xfId="0" applyFont="1" applyAlignment="1">
      <alignment horizontal="left"/>
    </xf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9" fontId="4" fillId="0" borderId="0" xfId="0" applyNumberFormat="1" applyFont="1"/>
    <xf numFmtId="167" fontId="4" fillId="0" borderId="0" xfId="0" applyNumberFormat="1" applyFont="1"/>
    <xf numFmtId="8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NPV!$C$5:$K$5</c:f>
              <c:numCache>
                <c:formatCode>0.0%</c:formatCode>
                <c:ptCount val="9"/>
                <c:pt idx="0">
                  <c:v>0.17</c:v>
                </c:pt>
                <c:pt idx="1">
                  <c:v>0.18</c:v>
                </c:pt>
                <c:pt idx="2">
                  <c:v>0.19</c:v>
                </c:pt>
                <c:pt idx="3" formatCode="0%">
                  <c:v>0.2</c:v>
                </c:pt>
                <c:pt idx="4">
                  <c:v>0.22386920572598201</c:v>
                </c:pt>
                <c:pt idx="5">
                  <c:v>0.22500000000000001</c:v>
                </c:pt>
                <c:pt idx="6">
                  <c:v>0.25</c:v>
                </c:pt>
                <c:pt idx="7">
                  <c:v>0.255</c:v>
                </c:pt>
                <c:pt idx="8">
                  <c:v>0.3</c:v>
                </c:pt>
              </c:numCache>
            </c:numRef>
          </c:xVal>
          <c:yVal>
            <c:numRef>
              <c:f>NPV!$C$6:$K$6</c:f>
              <c:numCache>
                <c:formatCode>#,##0.00</c:formatCode>
                <c:ptCount val="9"/>
                <c:pt idx="0">
                  <c:v>84122.374953399878</c:v>
                </c:pt>
                <c:pt idx="1">
                  <c:v>67384.040964035143</c:v>
                </c:pt>
                <c:pt idx="2">
                  <c:v>51182.035432299745</c:v>
                </c:pt>
                <c:pt idx="3">
                  <c:v>35493.827160493907</c:v>
                </c:pt>
                <c:pt idx="4">
                  <c:v>-3.3469405025243759E-10</c:v>
                </c:pt>
                <c:pt idx="5">
                  <c:v>-1616.4911850385251</c:v>
                </c:pt>
                <c:pt idx="6">
                  <c:v>-35952</c:v>
                </c:pt>
                <c:pt idx="7">
                  <c:v>-42510.404231936467</c:v>
                </c:pt>
                <c:pt idx="8">
                  <c:v>-97344.280662441961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04128"/>
        <c:axId val="472694144"/>
      </c:scatterChart>
      <c:valAx>
        <c:axId val="472704128"/>
        <c:scaling>
          <c:orientation val="minMax"/>
          <c:min val="0.15000000000000002"/>
        </c:scaling>
        <c:delete val="0"/>
        <c:axPos val="b"/>
        <c:numFmt formatCode="0.0%" sourceLinked="1"/>
        <c:majorTickMark val="out"/>
        <c:minorTickMark val="none"/>
        <c:tickLblPos val="nextTo"/>
        <c:crossAx val="472694144"/>
        <c:crosses val="autoZero"/>
        <c:crossBetween val="midCat"/>
      </c:valAx>
      <c:valAx>
        <c:axId val="472694144"/>
        <c:scaling>
          <c:orientation val="minMax"/>
          <c:min val="-1000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72704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'Problema da escala'!$B$28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'Problema da escala'!$A$29:$A$47</c:f>
              <c:numCache>
                <c:formatCode>0.0%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</c:numCache>
            </c:numRef>
          </c:cat>
          <c:val>
            <c:numRef>
              <c:f>'Problema da escala'!$B$29:$B$47</c:f>
              <c:numCache>
                <c:formatCode>[$$-1004]#,##0_);[Red]\([$$-1004]#,##0\)</c:formatCode>
                <c:ptCount val="19"/>
                <c:pt idx="0">
                  <c:v>280</c:v>
                </c:pt>
                <c:pt idx="1">
                  <c:v>248.26032704110514</c:v>
                </c:pt>
                <c:pt idx="2">
                  <c:v>218.86945254292186</c:v>
                </c:pt>
                <c:pt idx="3">
                  <c:v>191.59382192762905</c:v>
                </c:pt>
                <c:pt idx="4">
                  <c:v>166.22839969947393</c:v>
                </c:pt>
                <c:pt idx="5">
                  <c:v>142.59259259259261</c:v>
                </c:pt>
                <c:pt idx="6">
                  <c:v>120.52683488123625</c:v>
                </c:pt>
                <c:pt idx="7">
                  <c:v>99.889716151526954</c:v>
                </c:pt>
                <c:pt idx="8">
                  <c:v>80.555555555555657</c:v>
                </c:pt>
                <c:pt idx="9">
                  <c:v>62.412345196304273</c:v>
                </c:pt>
                <c:pt idx="10">
                  <c:v>45.360000000000014</c:v>
                </c:pt>
                <c:pt idx="11">
                  <c:v>29.3088631069499</c:v>
                </c:pt>
                <c:pt idx="12">
                  <c:v>14.178425125170634</c:v>
                </c:pt>
                <c:pt idx="13">
                  <c:v>-0.10377694338279753</c:v>
                </c:pt>
                <c:pt idx="14">
                  <c:v>-13.603109282121636</c:v>
                </c:pt>
                <c:pt idx="15">
                  <c:v>-26.378662659654424</c:v>
                </c:pt>
                <c:pt idx="16">
                  <c:v>-38.483965014577166</c:v>
                </c:pt>
                <c:pt idx="17">
                  <c:v>-49.967601367222358</c:v>
                </c:pt>
                <c:pt idx="18">
                  <c:v>-60.873754561482542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'Problema da escala'!$C$28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cat>
            <c:numRef>
              <c:f>'Problema da escala'!$A$29:$A$47</c:f>
              <c:numCache>
                <c:formatCode>0.0%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</c:numCache>
            </c:numRef>
          </c:cat>
          <c:val>
            <c:numRef>
              <c:f>'Problema da escala'!$C$29:$C$47</c:f>
              <c:numCache>
                <c:formatCode>[$$-1004]#,##0_);[Red]\([$$-1004]#,##0\)</c:formatCode>
                <c:ptCount val="19"/>
                <c:pt idx="0">
                  <c:v>610</c:v>
                </c:pt>
                <c:pt idx="1">
                  <c:v>524.9125810710816</c:v>
                </c:pt>
                <c:pt idx="2">
                  <c:v>447.06835114998376</c:v>
                </c:pt>
                <c:pt idx="3">
                  <c:v>375.68138654458107</c:v>
                </c:pt>
                <c:pt idx="4">
                  <c:v>310.06761833208088</c:v>
                </c:pt>
                <c:pt idx="5">
                  <c:v>249.62962962962956</c:v>
                </c:pt>
                <c:pt idx="6">
                  <c:v>193.84400427385572</c:v>
                </c:pt>
                <c:pt idx="7">
                  <c:v>142.25075368656258</c:v>
                </c:pt>
                <c:pt idx="8">
                  <c:v>94.444444444444571</c:v>
                </c:pt>
                <c:pt idx="9">
                  <c:v>50.066723899055432</c:v>
                </c:pt>
                <c:pt idx="10">
                  <c:v>8.7999999999999545</c:v>
                </c:pt>
                <c:pt idx="11">
                  <c:v>-29.637922066173587</c:v>
                </c:pt>
                <c:pt idx="12">
                  <c:v>-65.498406918525461</c:v>
                </c:pt>
                <c:pt idx="13">
                  <c:v>-99.005890768889572</c:v>
                </c:pt>
                <c:pt idx="14">
                  <c:v>-130.36122542295391</c:v>
                </c:pt>
                <c:pt idx="15">
                  <c:v>-159.74455296769349</c:v>
                </c:pt>
                <c:pt idx="16">
                  <c:v>-187.31778425655966</c:v>
                </c:pt>
                <c:pt idx="17">
                  <c:v>-213.22674183149468</c:v>
                </c:pt>
                <c:pt idx="18">
                  <c:v>-237.60301775390542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280896"/>
        <c:axId val="371287168"/>
      </c:lineChart>
      <c:catAx>
        <c:axId val="37128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Taxa de desconto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71287168"/>
        <c:crosses val="autoZero"/>
        <c:auto val="1"/>
        <c:lblAlgn val="ctr"/>
        <c:lblOffset val="100"/>
        <c:noMultiLvlLbl val="0"/>
      </c:catAx>
      <c:valAx>
        <c:axId val="37128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Valor Presente Líquido</a:t>
                </a:r>
              </a:p>
            </c:rich>
          </c:tx>
          <c:layout/>
          <c:overlay val="0"/>
        </c:title>
        <c:numFmt formatCode="[$$-1004]#,##0_);[Red]\([$$-1004]#,##0\)" sourceLinked="1"/>
        <c:majorTickMark val="out"/>
        <c:minorTickMark val="none"/>
        <c:tickLblPos val="nextTo"/>
        <c:crossAx val="37128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'Problema da dist FlCx no tempo'!$B$28</c:f>
              <c:strCache>
                <c:ptCount val="1"/>
                <c:pt idx="0">
                  <c:v>E</c:v>
                </c:pt>
              </c:strCache>
            </c:strRef>
          </c:tx>
          <c:marker>
            <c:symbol val="none"/>
          </c:marker>
          <c:cat>
            <c:numRef>
              <c:f>'Problema da dist FlCx no tempo'!$A$29:$A$47</c:f>
              <c:numCache>
                <c:formatCode>0.0%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</c:numCache>
            </c:numRef>
          </c:cat>
          <c:val>
            <c:numRef>
              <c:f>'Problema da dist FlCx no tempo'!$B$29:$B$47</c:f>
              <c:numCache>
                <c:formatCode>[$$-1004]#,##0_);[Red]\([$$-1004]#,##0\)</c:formatCode>
                <c:ptCount val="19"/>
                <c:pt idx="0">
                  <c:v>250</c:v>
                </c:pt>
                <c:pt idx="1">
                  <c:v>229.32778108268883</c:v>
                </c:pt>
                <c:pt idx="2">
                  <c:v>209.75056689342398</c:v>
                </c:pt>
                <c:pt idx="3">
                  <c:v>191.18442401298</c:v>
                </c:pt>
                <c:pt idx="4">
                  <c:v>173.55371900826435</c:v>
                </c:pt>
                <c:pt idx="5">
                  <c:v>156.79012345679018</c:v>
                </c:pt>
                <c:pt idx="6">
                  <c:v>140.83175803402662</c:v>
                </c:pt>
                <c:pt idx="7">
                  <c:v>125.62245359891358</c:v>
                </c:pt>
                <c:pt idx="8">
                  <c:v>111.1111111111112</c:v>
                </c:pt>
                <c:pt idx="9">
                  <c:v>97.251145356101574</c:v>
                </c:pt>
                <c:pt idx="10">
                  <c:v>84</c:v>
                </c:pt>
                <c:pt idx="11">
                  <c:v>71.318723567858569</c:v>
                </c:pt>
                <c:pt idx="12">
                  <c:v>59.171597633136116</c:v>
                </c:pt>
                <c:pt idx="13">
                  <c:v>47.525809896760506</c:v>
                </c:pt>
                <c:pt idx="14">
                  <c:v>36.351165980795599</c:v>
                </c:pt>
                <c:pt idx="15">
                  <c:v>25.619834710743817</c:v>
                </c:pt>
                <c:pt idx="16">
                  <c:v>15.306122448979636</c:v>
                </c:pt>
                <c:pt idx="17">
                  <c:v>5.3862726992920216</c:v>
                </c:pt>
                <c:pt idx="18">
                  <c:v>-4.1617122473246013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'Problema da dist FlCx no tempo'!$C$28</c:f>
              <c:strCache>
                <c:ptCount val="1"/>
                <c:pt idx="0">
                  <c:v>F</c:v>
                </c:pt>
              </c:strCache>
            </c:strRef>
          </c:tx>
          <c:marker>
            <c:symbol val="none"/>
          </c:marker>
          <c:cat>
            <c:numRef>
              <c:f>'Problema da dist FlCx no tempo'!$A$29:$A$47</c:f>
              <c:numCache>
                <c:formatCode>0.0%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</c:numCache>
            </c:numRef>
          </c:cat>
          <c:val>
            <c:numRef>
              <c:f>'Problema da dist FlCx no tempo'!$C$29:$C$47</c:f>
              <c:numCache>
                <c:formatCode>[$$-1004]#,##0_);[Red]\([$$-1004]#,##0\)</c:formatCode>
                <c:ptCount val="19"/>
                <c:pt idx="0">
                  <c:v>400</c:v>
                </c:pt>
                <c:pt idx="1">
                  <c:v>358.53658536585385</c:v>
                </c:pt>
                <c:pt idx="2">
                  <c:v>319.95464852607711</c:v>
                </c:pt>
                <c:pt idx="3">
                  <c:v>283.99134667387784</c:v>
                </c:pt>
                <c:pt idx="4">
                  <c:v>250.41322314049569</c:v>
                </c:pt>
                <c:pt idx="5">
                  <c:v>219.01234567901236</c:v>
                </c:pt>
                <c:pt idx="6">
                  <c:v>189.60302457466923</c:v>
                </c:pt>
                <c:pt idx="7">
                  <c:v>162.01901312811219</c:v>
                </c:pt>
                <c:pt idx="8">
                  <c:v>136.1111111111112</c:v>
                </c:pt>
                <c:pt idx="9">
                  <c:v>111.74510620574745</c:v>
                </c:pt>
                <c:pt idx="10">
                  <c:v>88.799999999999955</c:v>
                </c:pt>
                <c:pt idx="11">
                  <c:v>67.166474432910491</c:v>
                </c:pt>
                <c:pt idx="12">
                  <c:v>46.745562130177404</c:v>
                </c:pt>
                <c:pt idx="13">
                  <c:v>27.447490210039177</c:v>
                </c:pt>
                <c:pt idx="14">
                  <c:v>9.1906721536350915</c:v>
                </c:pt>
                <c:pt idx="15">
                  <c:v>-8.0991735537190266</c:v>
                </c:pt>
                <c:pt idx="16">
                  <c:v>-24.489795918367292</c:v>
                </c:pt>
                <c:pt idx="17">
                  <c:v>-40.04309018159438</c:v>
                </c:pt>
                <c:pt idx="18">
                  <c:v>-54.815695600475635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6368"/>
        <c:axId val="374108544"/>
      </c:lineChart>
      <c:catAx>
        <c:axId val="3741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Taxa de desconto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74108544"/>
        <c:crosses val="autoZero"/>
        <c:auto val="1"/>
        <c:lblAlgn val="ctr"/>
        <c:lblOffset val="100"/>
        <c:noMultiLvlLbl val="0"/>
      </c:catAx>
      <c:valAx>
        <c:axId val="374108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Valor Presente Líquido</a:t>
                </a:r>
              </a:p>
            </c:rich>
          </c:tx>
          <c:layout/>
          <c:overlay val="0"/>
        </c:title>
        <c:numFmt formatCode="[$$-1004]#,##0_);[Red]\([$$-1004]#,##0\)" sourceLinked="1"/>
        <c:majorTickMark val="out"/>
        <c:minorTickMark val="none"/>
        <c:tickLblPos val="nextTo"/>
        <c:crossAx val="37410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13</xdr:row>
      <xdr:rowOff>14287</xdr:rowOff>
    </xdr:from>
    <xdr:to>
      <xdr:col>10</xdr:col>
      <xdr:colOff>285750</xdr:colOff>
      <xdr:row>34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26</xdr:row>
      <xdr:rowOff>171449</xdr:rowOff>
    </xdr:from>
    <xdr:to>
      <xdr:col>15</xdr:col>
      <xdr:colOff>57149</xdr:colOff>
      <xdr:row>50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26</xdr:row>
      <xdr:rowOff>171449</xdr:rowOff>
    </xdr:from>
    <xdr:to>
      <xdr:col>15</xdr:col>
      <xdr:colOff>57149</xdr:colOff>
      <xdr:row>50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N29" sqref="N29"/>
    </sheetView>
  </sheetViews>
  <sheetFormatPr defaultRowHeight="15.75" x14ac:dyDescent="0.25"/>
  <cols>
    <col min="1" max="1" width="17" style="15" customWidth="1"/>
    <col min="2" max="2" width="17.42578125" style="15" bestFit="1" customWidth="1"/>
    <col min="3" max="11" width="12" style="15" bestFit="1" customWidth="1"/>
    <col min="12" max="16384" width="9.140625" style="15"/>
  </cols>
  <sheetData>
    <row r="1" spans="1:12" x14ac:dyDescent="0.25">
      <c r="A1" s="14" t="s">
        <v>41</v>
      </c>
    </row>
    <row r="5" spans="1:12" x14ac:dyDescent="0.25">
      <c r="B5" s="15" t="s">
        <v>49</v>
      </c>
      <c r="C5" s="18">
        <v>0.17</v>
      </c>
      <c r="D5" s="18">
        <v>0.18</v>
      </c>
      <c r="E5" s="18">
        <v>0.19</v>
      </c>
      <c r="F5" s="17">
        <v>0.2</v>
      </c>
      <c r="G5" s="18">
        <v>0.22386920572598201</v>
      </c>
      <c r="H5" s="18">
        <v>0.22500000000000001</v>
      </c>
      <c r="I5" s="18">
        <v>0.25</v>
      </c>
      <c r="J5" s="18">
        <v>0.255</v>
      </c>
      <c r="K5" s="18">
        <v>0.3</v>
      </c>
      <c r="L5" s="18"/>
    </row>
    <row r="6" spans="1:12" x14ac:dyDescent="0.25">
      <c r="B6" s="15" t="s">
        <v>50</v>
      </c>
      <c r="C6" s="15">
        <f>SUM(C7:C12)</f>
        <v>84122.374953399878</v>
      </c>
      <c r="D6" s="15">
        <f t="shared" ref="D6:E6" si="0">SUM(D7:D12)</f>
        <v>67384.040964035143</v>
      </c>
      <c r="E6" s="15">
        <f t="shared" si="0"/>
        <v>51182.035432299745</v>
      </c>
      <c r="F6" s="15">
        <f>SUM(F7:F12)</f>
        <v>35493.827160493907</v>
      </c>
      <c r="G6" s="15">
        <f t="shared" ref="G6:K6" si="1">SUM(G7:G12)</f>
        <v>-3.3469405025243759E-10</v>
      </c>
      <c r="H6" s="15">
        <f t="shared" si="1"/>
        <v>-1616.4911850385251</v>
      </c>
      <c r="I6" s="15">
        <f t="shared" si="1"/>
        <v>-35952</v>
      </c>
      <c r="J6" s="15">
        <f t="shared" si="1"/>
        <v>-42510.404231936467</v>
      </c>
      <c r="K6" s="15">
        <f t="shared" si="1"/>
        <v>-97344.280662441961</v>
      </c>
    </row>
    <row r="7" spans="1:12" x14ac:dyDescent="0.25">
      <c r="A7" s="15" t="s">
        <v>42</v>
      </c>
      <c r="B7" s="16">
        <v>750000</v>
      </c>
      <c r="C7" s="15">
        <f>$B7*-1</f>
        <v>-750000</v>
      </c>
      <c r="D7" s="15">
        <f t="shared" ref="D7:E7" si="2">$B7*-1</f>
        <v>-750000</v>
      </c>
      <c r="E7" s="15">
        <f t="shared" si="2"/>
        <v>-750000</v>
      </c>
      <c r="F7" s="15">
        <f>$B7*-1</f>
        <v>-750000</v>
      </c>
      <c r="G7" s="15">
        <f t="shared" ref="G7:K7" si="3">$B7*-1</f>
        <v>-750000</v>
      </c>
      <c r="H7" s="15">
        <f t="shared" si="3"/>
        <v>-750000</v>
      </c>
      <c r="I7" s="15">
        <f t="shared" si="3"/>
        <v>-750000</v>
      </c>
      <c r="J7" s="15">
        <f t="shared" si="3"/>
        <v>-750000</v>
      </c>
      <c r="K7" s="15">
        <f t="shared" si="3"/>
        <v>-750000</v>
      </c>
    </row>
    <row r="8" spans="1:12" x14ac:dyDescent="0.25">
      <c r="A8" s="15" t="s">
        <v>43</v>
      </c>
    </row>
    <row r="9" spans="1:12" x14ac:dyDescent="0.25">
      <c r="A9" s="15" t="s">
        <v>44</v>
      </c>
      <c r="B9" s="16">
        <v>250000</v>
      </c>
      <c r="C9" s="15">
        <f>$B9/(1+C$5)</f>
        <v>213675.21367521369</v>
      </c>
      <c r="D9" s="15">
        <f t="shared" ref="D9:E9" si="4">$B9/(1+D$5)</f>
        <v>211864.40677966102</v>
      </c>
      <c r="E9" s="15">
        <f t="shared" si="4"/>
        <v>210084.03361344538</v>
      </c>
      <c r="F9" s="15">
        <f>$B9/(1+F$5)</f>
        <v>208333.33333333334</v>
      </c>
      <c r="G9" s="15">
        <f t="shared" ref="G9:K9" si="5">$B9/(1+G$5)</f>
        <v>204270.19393114274</v>
      </c>
      <c r="H9" s="15">
        <f t="shared" si="5"/>
        <v>204081.63265306121</v>
      </c>
      <c r="I9" s="15">
        <f t="shared" si="5"/>
        <v>200000</v>
      </c>
      <c r="J9" s="15">
        <f t="shared" si="5"/>
        <v>199203.18725099604</v>
      </c>
      <c r="K9" s="15">
        <f t="shared" si="5"/>
        <v>192307.69230769231</v>
      </c>
    </row>
    <row r="10" spans="1:12" x14ac:dyDescent="0.25">
      <c r="A10" s="15" t="s">
        <v>45</v>
      </c>
      <c r="B10" s="16">
        <v>320000</v>
      </c>
      <c r="C10" s="15">
        <f>$B10/(1+C$5)^2</f>
        <v>233764.33632843892</v>
      </c>
      <c r="D10" s="15">
        <f t="shared" ref="D10:E10" si="6">$B10/(1+D$5)^2</f>
        <v>229819.01752370011</v>
      </c>
      <c r="E10" s="15">
        <f t="shared" si="6"/>
        <v>225972.74203799167</v>
      </c>
      <c r="F10" s="15">
        <f>$B10/(1+F$5)^2</f>
        <v>222222.22222222222</v>
      </c>
      <c r="G10" s="15">
        <f t="shared" ref="G10:K10" si="7">$B10/(1+G$5)^2</f>
        <v>213638.71809877333</v>
      </c>
      <c r="H10" s="15">
        <f t="shared" si="7"/>
        <v>213244.48146605576</v>
      </c>
      <c r="I10" s="15">
        <f t="shared" si="7"/>
        <v>204800</v>
      </c>
      <c r="J10" s="15">
        <f t="shared" si="7"/>
        <v>203171.37823209161</v>
      </c>
      <c r="K10" s="15">
        <f t="shared" si="7"/>
        <v>189349.11242603548</v>
      </c>
    </row>
    <row r="11" spans="1:12" x14ac:dyDescent="0.25">
      <c r="A11" s="15" t="s">
        <v>46</v>
      </c>
      <c r="B11" s="16">
        <v>380000</v>
      </c>
      <c r="C11" s="15">
        <f>$B11/(1+C$5)^3</f>
        <v>237260.8114444626</v>
      </c>
      <c r="D11" s="15">
        <f t="shared" ref="D11:E11" si="8">$B11/(1+D$5)^3</f>
        <v>231279.7316181304</v>
      </c>
      <c r="E11" s="15">
        <f t="shared" si="8"/>
        <v>225498.00938665136</v>
      </c>
      <c r="F11" s="15">
        <f>$B11/(1+F$5)^3</f>
        <v>219907.40740740742</v>
      </c>
      <c r="G11" s="15">
        <f t="shared" ref="G11:K11" si="9">$B11/(1+G$5)^3</f>
        <v>207290.10629187652</v>
      </c>
      <c r="H11" s="15">
        <f t="shared" si="9"/>
        <v>206716.58917627853</v>
      </c>
      <c r="I11" s="15">
        <f t="shared" si="9"/>
        <v>194560</v>
      </c>
      <c r="J11" s="15">
        <f t="shared" si="9"/>
        <v>192243.83398454884</v>
      </c>
      <c r="K11" s="15">
        <f t="shared" si="9"/>
        <v>172963.13154301315</v>
      </c>
    </row>
    <row r="12" spans="1:12" x14ac:dyDescent="0.25">
      <c r="A12" s="15" t="s">
        <v>47</v>
      </c>
      <c r="B12" s="16">
        <v>280000</v>
      </c>
      <c r="C12" s="15">
        <f>$B12/(1+C$5)^4</f>
        <v>149422.01350528459</v>
      </c>
      <c r="D12" s="15">
        <f t="shared" ref="D12:E12" si="10">$B12/(1+D$5)^4</f>
        <v>144420.88504254352</v>
      </c>
      <c r="E12" s="15">
        <f t="shared" si="10"/>
        <v>139627.25039421138</v>
      </c>
      <c r="F12" s="15">
        <f>$B12/(1+F$5)^4</f>
        <v>135030.86419753087</v>
      </c>
      <c r="G12" s="15">
        <f t="shared" ref="G12:K12" si="11">$B12/(1+G$5)^4</f>
        <v>124800.98167820701</v>
      </c>
      <c r="H12" s="15">
        <f t="shared" si="11"/>
        <v>124340.80551956603</v>
      </c>
      <c r="I12" s="15">
        <f t="shared" si="11"/>
        <v>114688</v>
      </c>
      <c r="J12" s="15">
        <f t="shared" si="11"/>
        <v>112871.19630042708</v>
      </c>
      <c r="K12" s="15">
        <f t="shared" si="11"/>
        <v>98035.783060817179</v>
      </c>
    </row>
    <row r="14" spans="1:12" x14ac:dyDescent="0.25">
      <c r="A14" s="15" t="s">
        <v>51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9" workbookViewId="0">
      <selection activeCell="F18" sqref="F18"/>
    </sheetView>
  </sheetViews>
  <sheetFormatPr defaultRowHeight="15" x14ac:dyDescent="0.25"/>
  <cols>
    <col min="1" max="1" width="17.85546875" customWidth="1"/>
    <col min="6" max="7" width="12.42578125" customWidth="1"/>
  </cols>
  <sheetData>
    <row r="1" spans="1:7" x14ac:dyDescent="0.25">
      <c r="A1" s="4" t="s">
        <v>0</v>
      </c>
    </row>
    <row r="2" spans="1:7" x14ac:dyDescent="0.25">
      <c r="A2" s="4"/>
    </row>
    <row r="3" spans="1:7" x14ac:dyDescent="0.25">
      <c r="A3" s="4" t="s">
        <v>1</v>
      </c>
    </row>
    <row r="5" spans="1:7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9</v>
      </c>
      <c r="G5" s="5" t="s">
        <v>10</v>
      </c>
    </row>
    <row r="6" spans="1:7" x14ac:dyDescent="0.25">
      <c r="A6" t="s">
        <v>7</v>
      </c>
      <c r="B6" s="3">
        <v>-450</v>
      </c>
      <c r="C6" s="3">
        <v>320</v>
      </c>
      <c r="D6" s="3">
        <v>230</v>
      </c>
      <c r="E6" s="3">
        <v>180</v>
      </c>
      <c r="F6" s="2">
        <f>NPV($C$9,C6:E6)+B6</f>
        <v>80.555555555555657</v>
      </c>
      <c r="G6" s="7">
        <f>IRR(B6:E6)</f>
        <v>0.3248131269203347</v>
      </c>
    </row>
    <row r="7" spans="1:7" x14ac:dyDescent="0.25">
      <c r="A7" t="s">
        <v>8</v>
      </c>
      <c r="B7" s="3">
        <v>-900</v>
      </c>
      <c r="C7" s="3">
        <v>360</v>
      </c>
      <c r="D7" s="3">
        <v>250</v>
      </c>
      <c r="E7" s="3">
        <v>900</v>
      </c>
      <c r="F7" s="2">
        <f>NPV($C$9,C7:E7)+B7</f>
        <v>94.444444444444571</v>
      </c>
      <c r="G7" s="7">
        <f>IRR(B7:E7)</f>
        <v>0.25557027942621358</v>
      </c>
    </row>
    <row r="9" spans="1:7" x14ac:dyDescent="0.25">
      <c r="A9" t="s">
        <v>11</v>
      </c>
      <c r="C9" s="6">
        <v>0.2</v>
      </c>
    </row>
    <row r="11" spans="1:7" x14ac:dyDescent="0.25">
      <c r="A11" t="s">
        <v>16</v>
      </c>
      <c r="D11" t="s">
        <v>7</v>
      </c>
    </row>
    <row r="12" spans="1:7" x14ac:dyDescent="0.25">
      <c r="A12" t="s">
        <v>17</v>
      </c>
      <c r="D12" t="s">
        <v>8</v>
      </c>
    </row>
    <row r="14" spans="1:7" x14ac:dyDescent="0.25">
      <c r="A14" s="4" t="s">
        <v>12</v>
      </c>
    </row>
    <row r="16" spans="1:7" x14ac:dyDescent="0.25">
      <c r="A16" t="s">
        <v>13</v>
      </c>
    </row>
    <row r="17" spans="1:7" ht="30" x14ac:dyDescent="0.25">
      <c r="B17" s="5" t="s">
        <v>3</v>
      </c>
      <c r="C17" s="5" t="s">
        <v>4</v>
      </c>
      <c r="D17" s="5" t="s">
        <v>5</v>
      </c>
      <c r="E17" s="5" t="s">
        <v>6</v>
      </c>
      <c r="F17" s="8" t="s">
        <v>14</v>
      </c>
      <c r="G17" s="8" t="s">
        <v>15</v>
      </c>
    </row>
    <row r="18" spans="1:7" x14ac:dyDescent="0.25">
      <c r="B18" s="3">
        <f>B7-B6</f>
        <v>-450</v>
      </c>
      <c r="C18" s="3">
        <f t="shared" ref="C18:E18" si="0">C7-C6</f>
        <v>40</v>
      </c>
      <c r="D18" s="3">
        <f t="shared" si="0"/>
        <v>20</v>
      </c>
      <c r="E18" s="3">
        <f t="shared" si="0"/>
        <v>720</v>
      </c>
      <c r="F18" s="2">
        <f>NPV($C$9,C18:E18)+B18</f>
        <v>13.888888888888857</v>
      </c>
      <c r="G18" s="7">
        <f>IRR(B18:E18)</f>
        <v>0.21298287648907999</v>
      </c>
    </row>
    <row r="20" spans="1:7" x14ac:dyDescent="0.25">
      <c r="A20" t="s">
        <v>18</v>
      </c>
    </row>
    <row r="21" spans="1:7" x14ac:dyDescent="0.25">
      <c r="A21" t="s">
        <v>19</v>
      </c>
    </row>
    <row r="22" spans="1:7" x14ac:dyDescent="0.25">
      <c r="A22" t="s">
        <v>20</v>
      </c>
      <c r="D22" s="3">
        <f>NPV($G$18,C6:E6)+B6</f>
        <v>70.991453194763722</v>
      </c>
    </row>
    <row r="23" spans="1:7" x14ac:dyDescent="0.25">
      <c r="A23" t="s">
        <v>21</v>
      </c>
      <c r="D23" s="3">
        <f>NPV($G$18,C7:E7)+B7</f>
        <v>70.991453194817609</v>
      </c>
    </row>
    <row r="25" spans="1:7" x14ac:dyDescent="0.25">
      <c r="A25" s="4" t="s">
        <v>22</v>
      </c>
    </row>
    <row r="26" spans="1:7" x14ac:dyDescent="0.25">
      <c r="A26" s="4"/>
    </row>
    <row r="27" spans="1:7" x14ac:dyDescent="0.25">
      <c r="A27" t="s">
        <v>24</v>
      </c>
    </row>
    <row r="28" spans="1:7" x14ac:dyDescent="0.25">
      <c r="A28" t="s">
        <v>23</v>
      </c>
      <c r="B28" s="10" t="s">
        <v>7</v>
      </c>
      <c r="C28" s="10" t="s">
        <v>8</v>
      </c>
    </row>
    <row r="29" spans="1:7" x14ac:dyDescent="0.25">
      <c r="A29" s="7">
        <v>0</v>
      </c>
      <c r="B29" s="3">
        <f>NPV($A29,$C$6:$E$6)+$B$6</f>
        <v>280</v>
      </c>
      <c r="C29" s="3">
        <f>NPV($A29,$C$7:$E$7)+$B$7</f>
        <v>610</v>
      </c>
    </row>
    <row r="30" spans="1:7" x14ac:dyDescent="0.25">
      <c r="A30" s="7">
        <v>2.5000000000000001E-2</v>
      </c>
      <c r="B30" s="3">
        <f t="shared" ref="B30:B47" si="1">NPV($A30,$C$6:$E$6)+$B$6</f>
        <v>248.26032704110514</v>
      </c>
      <c r="C30" s="3">
        <f t="shared" ref="C30:C47" si="2">NPV($A30,$C$7:$E$7)+$B$7</f>
        <v>524.9125810710816</v>
      </c>
    </row>
    <row r="31" spans="1:7" x14ac:dyDescent="0.25">
      <c r="A31" s="7">
        <v>0.05</v>
      </c>
      <c r="B31" s="3">
        <f t="shared" si="1"/>
        <v>218.86945254292186</v>
      </c>
      <c r="C31" s="3">
        <f t="shared" si="2"/>
        <v>447.06835114998376</v>
      </c>
    </row>
    <row r="32" spans="1:7" x14ac:dyDescent="0.25">
      <c r="A32" s="7">
        <v>7.4999999999999997E-2</v>
      </c>
      <c r="B32" s="3">
        <f t="shared" si="1"/>
        <v>191.59382192762905</v>
      </c>
      <c r="C32" s="3">
        <f t="shared" si="2"/>
        <v>375.68138654458107</v>
      </c>
    </row>
    <row r="33" spans="1:3" x14ac:dyDescent="0.25">
      <c r="A33" s="7">
        <v>0.1</v>
      </c>
      <c r="B33" s="3">
        <f t="shared" si="1"/>
        <v>166.22839969947393</v>
      </c>
      <c r="C33" s="3">
        <f t="shared" si="2"/>
        <v>310.06761833208088</v>
      </c>
    </row>
    <row r="34" spans="1:3" x14ac:dyDescent="0.25">
      <c r="A34" s="7">
        <v>0.125</v>
      </c>
      <c r="B34" s="3">
        <f t="shared" si="1"/>
        <v>142.59259259259261</v>
      </c>
      <c r="C34" s="3">
        <f t="shared" si="2"/>
        <v>249.62962962962956</v>
      </c>
    </row>
    <row r="35" spans="1:3" x14ac:dyDescent="0.25">
      <c r="A35" s="7">
        <v>0.15</v>
      </c>
      <c r="B35" s="3">
        <f t="shared" si="1"/>
        <v>120.52683488123625</v>
      </c>
      <c r="C35" s="3">
        <f t="shared" si="2"/>
        <v>193.84400427385572</v>
      </c>
    </row>
    <row r="36" spans="1:3" x14ac:dyDescent="0.25">
      <c r="A36" s="7">
        <v>0.17499999999999999</v>
      </c>
      <c r="B36" s="3">
        <f t="shared" si="1"/>
        <v>99.889716151526954</v>
      </c>
      <c r="C36" s="3">
        <f t="shared" si="2"/>
        <v>142.25075368656258</v>
      </c>
    </row>
    <row r="37" spans="1:3" x14ac:dyDescent="0.25">
      <c r="A37" s="7">
        <v>0.2</v>
      </c>
      <c r="B37" s="3">
        <f t="shared" si="1"/>
        <v>80.555555555555657</v>
      </c>
      <c r="C37" s="3">
        <f t="shared" si="2"/>
        <v>94.444444444444571</v>
      </c>
    </row>
    <row r="38" spans="1:3" x14ac:dyDescent="0.25">
      <c r="A38" s="7">
        <v>0.22500000000000001</v>
      </c>
      <c r="B38" s="3">
        <f t="shared" si="1"/>
        <v>62.412345196304273</v>
      </c>
      <c r="C38" s="3">
        <f t="shared" si="2"/>
        <v>50.066723899055432</v>
      </c>
    </row>
    <row r="39" spans="1:3" x14ac:dyDescent="0.25">
      <c r="A39" s="7">
        <v>0.25</v>
      </c>
      <c r="B39" s="3">
        <f t="shared" si="1"/>
        <v>45.360000000000014</v>
      </c>
      <c r="C39" s="3">
        <f t="shared" si="2"/>
        <v>8.7999999999999545</v>
      </c>
    </row>
    <row r="40" spans="1:3" x14ac:dyDescent="0.25">
      <c r="A40" s="7">
        <v>0.27500000000000002</v>
      </c>
      <c r="B40" s="3">
        <f t="shared" si="1"/>
        <v>29.3088631069499</v>
      </c>
      <c r="C40" s="3">
        <f t="shared" si="2"/>
        <v>-29.637922066173587</v>
      </c>
    </row>
    <row r="41" spans="1:3" x14ac:dyDescent="0.25">
      <c r="A41" s="7">
        <v>0.3</v>
      </c>
      <c r="B41" s="3">
        <f t="shared" si="1"/>
        <v>14.178425125170634</v>
      </c>
      <c r="C41" s="3">
        <f t="shared" si="2"/>
        <v>-65.498406918525461</v>
      </c>
    </row>
    <row r="42" spans="1:3" x14ac:dyDescent="0.25">
      <c r="A42" s="7">
        <v>0.32500000000000001</v>
      </c>
      <c r="B42" s="3">
        <f t="shared" si="1"/>
        <v>-0.10377694338279753</v>
      </c>
      <c r="C42" s="3">
        <f t="shared" si="2"/>
        <v>-99.005890768889572</v>
      </c>
    </row>
    <row r="43" spans="1:3" x14ac:dyDescent="0.25">
      <c r="A43" s="7">
        <v>0.35</v>
      </c>
      <c r="B43" s="3">
        <f t="shared" si="1"/>
        <v>-13.603109282121636</v>
      </c>
      <c r="C43" s="3">
        <f t="shared" si="2"/>
        <v>-130.36122542295391</v>
      </c>
    </row>
    <row r="44" spans="1:3" x14ac:dyDescent="0.25">
      <c r="A44" s="7">
        <v>0.375</v>
      </c>
      <c r="B44" s="3">
        <f t="shared" si="1"/>
        <v>-26.378662659654424</v>
      </c>
      <c r="C44" s="3">
        <f t="shared" si="2"/>
        <v>-159.74455296769349</v>
      </c>
    </row>
    <row r="45" spans="1:3" x14ac:dyDescent="0.25">
      <c r="A45" s="7">
        <v>0.4</v>
      </c>
      <c r="B45" s="3">
        <f t="shared" si="1"/>
        <v>-38.483965014577166</v>
      </c>
      <c r="C45" s="3">
        <f t="shared" si="2"/>
        <v>-187.31778425655966</v>
      </c>
    </row>
    <row r="46" spans="1:3" x14ac:dyDescent="0.25">
      <c r="A46" s="7">
        <v>0.42499999999999999</v>
      </c>
      <c r="B46" s="3">
        <f t="shared" si="1"/>
        <v>-49.967601367222358</v>
      </c>
      <c r="C46" s="3">
        <f t="shared" si="2"/>
        <v>-213.22674183149468</v>
      </c>
    </row>
    <row r="47" spans="1:3" x14ac:dyDescent="0.25">
      <c r="A47" s="7">
        <v>0.45</v>
      </c>
      <c r="B47" s="3">
        <f t="shared" si="1"/>
        <v>-60.873754561482542</v>
      </c>
      <c r="C47" s="3">
        <f t="shared" si="2"/>
        <v>-237.60301775390542</v>
      </c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0" workbookViewId="0">
      <selection activeCell="C6" sqref="C6"/>
    </sheetView>
  </sheetViews>
  <sheetFormatPr defaultRowHeight="15" x14ac:dyDescent="0.25"/>
  <cols>
    <col min="1" max="1" width="17.85546875" customWidth="1"/>
    <col min="5" max="5" width="12.7109375" customWidth="1"/>
    <col min="6" max="7" width="12.42578125" customWidth="1"/>
  </cols>
  <sheetData>
    <row r="1" spans="1:6" x14ac:dyDescent="0.25">
      <c r="A1" s="4" t="s">
        <v>0</v>
      </c>
    </row>
    <row r="2" spans="1:6" x14ac:dyDescent="0.25">
      <c r="A2" s="4"/>
    </row>
    <row r="3" spans="1:6" x14ac:dyDescent="0.25">
      <c r="A3" s="4" t="s">
        <v>25</v>
      </c>
    </row>
    <row r="5" spans="1:6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9</v>
      </c>
      <c r="F5" s="5" t="s">
        <v>10</v>
      </c>
    </row>
    <row r="6" spans="1:6" x14ac:dyDescent="0.25">
      <c r="A6" t="s">
        <v>26</v>
      </c>
      <c r="B6" s="3">
        <v>-500</v>
      </c>
      <c r="C6" s="3">
        <v>650</v>
      </c>
      <c r="D6" s="3">
        <v>100</v>
      </c>
      <c r="E6" s="2">
        <f>NPV($C$9,C6:D6)+B6</f>
        <v>111.1111111111112</v>
      </c>
      <c r="F6" s="7">
        <f>IRR(B6:D6)</f>
        <v>0.43898669190297523</v>
      </c>
    </row>
    <row r="7" spans="1:6" x14ac:dyDescent="0.25">
      <c r="A7" t="s">
        <v>27</v>
      </c>
      <c r="B7" s="3">
        <v>-500</v>
      </c>
      <c r="C7" s="3">
        <v>80</v>
      </c>
      <c r="D7" s="3">
        <v>820</v>
      </c>
      <c r="E7" s="2">
        <f>NPV($C$9,C7:D7)+B7</f>
        <v>136.1111111111112</v>
      </c>
      <c r="F7" s="7">
        <f>IRR(B7:D7)</f>
        <v>0.36312119458729764</v>
      </c>
    </row>
    <row r="9" spans="1:6" x14ac:dyDescent="0.25">
      <c r="A9" t="s">
        <v>11</v>
      </c>
      <c r="C9" s="6">
        <v>0.2</v>
      </c>
    </row>
    <row r="11" spans="1:6" x14ac:dyDescent="0.25">
      <c r="A11" t="s">
        <v>16</v>
      </c>
      <c r="D11" t="s">
        <v>26</v>
      </c>
    </row>
    <row r="12" spans="1:6" x14ac:dyDescent="0.25">
      <c r="A12" t="s">
        <v>17</v>
      </c>
      <c r="D12" t="s">
        <v>27</v>
      </c>
    </row>
    <row r="14" spans="1:6" x14ac:dyDescent="0.25">
      <c r="A14" s="4" t="s">
        <v>12</v>
      </c>
    </row>
    <row r="16" spans="1:6" x14ac:dyDescent="0.25">
      <c r="A16" t="s">
        <v>40</v>
      </c>
    </row>
    <row r="17" spans="1:6" ht="30" x14ac:dyDescent="0.25">
      <c r="B17" s="5" t="s">
        <v>3</v>
      </c>
      <c r="C17" s="5" t="s">
        <v>4</v>
      </c>
      <c r="D17" s="5" t="s">
        <v>5</v>
      </c>
      <c r="E17" s="8" t="s">
        <v>14</v>
      </c>
      <c r="F17" s="8" t="s">
        <v>15</v>
      </c>
    </row>
    <row r="18" spans="1:6" x14ac:dyDescent="0.25">
      <c r="B18" s="3">
        <f>B7-B6</f>
        <v>0</v>
      </c>
      <c r="C18" s="3">
        <f t="shared" ref="C18:D18" si="0">C7-C6</f>
        <v>-570</v>
      </c>
      <c r="D18" s="3">
        <f t="shared" si="0"/>
        <v>720</v>
      </c>
      <c r="E18" s="2">
        <f>NPV($C$9,C18:D18)+B18</f>
        <v>25</v>
      </c>
      <c r="F18" s="7">
        <f>IRR(B18:D18)</f>
        <v>0.26315789473684226</v>
      </c>
    </row>
    <row r="20" spans="1:6" x14ac:dyDescent="0.25">
      <c r="A20" t="s">
        <v>18</v>
      </c>
    </row>
    <row r="21" spans="1:6" x14ac:dyDescent="0.25">
      <c r="A21" t="s">
        <v>19</v>
      </c>
    </row>
    <row r="22" spans="1:6" x14ac:dyDescent="0.25">
      <c r="A22" t="s">
        <v>20</v>
      </c>
      <c r="D22" s="3">
        <f>NPV($F$18,C6:D6)+B6</f>
        <v>77.256944444444343</v>
      </c>
    </row>
    <row r="23" spans="1:6" x14ac:dyDescent="0.25">
      <c r="A23" t="s">
        <v>21</v>
      </c>
      <c r="D23" s="3">
        <f>NPV($F$18,C7:D7)+B7</f>
        <v>77.256944444444343</v>
      </c>
    </row>
    <row r="25" spans="1:6" x14ac:dyDescent="0.25">
      <c r="A25" s="4" t="s">
        <v>22</v>
      </c>
    </row>
    <row r="26" spans="1:6" x14ac:dyDescent="0.25">
      <c r="A26" s="4"/>
    </row>
    <row r="27" spans="1:6" x14ac:dyDescent="0.25">
      <c r="A27" t="s">
        <v>24</v>
      </c>
    </row>
    <row r="28" spans="1:6" x14ac:dyDescent="0.25">
      <c r="A28" t="s">
        <v>23</v>
      </c>
      <c r="B28" s="10" t="s">
        <v>26</v>
      </c>
      <c r="C28" s="10" t="s">
        <v>27</v>
      </c>
    </row>
    <row r="29" spans="1:6" x14ac:dyDescent="0.25">
      <c r="A29" s="7">
        <v>0</v>
      </c>
      <c r="B29" s="3">
        <f t="shared" ref="B29:B47" si="1">NPV($A29,$C$6:$D$6)+$B$6</f>
        <v>250</v>
      </c>
      <c r="C29" s="3">
        <f t="shared" ref="C29:C47" si="2">NPV($A29,$C$7:$D$7)+$B$7</f>
        <v>400</v>
      </c>
    </row>
    <row r="30" spans="1:6" x14ac:dyDescent="0.25">
      <c r="A30" s="7">
        <v>2.5000000000000001E-2</v>
      </c>
      <c r="B30" s="3">
        <f t="shared" si="1"/>
        <v>229.32778108268883</v>
      </c>
      <c r="C30" s="3">
        <f t="shared" si="2"/>
        <v>358.53658536585385</v>
      </c>
    </row>
    <row r="31" spans="1:6" x14ac:dyDescent="0.25">
      <c r="A31" s="7">
        <v>0.05</v>
      </c>
      <c r="B31" s="3">
        <f t="shared" si="1"/>
        <v>209.75056689342398</v>
      </c>
      <c r="C31" s="3">
        <f t="shared" si="2"/>
        <v>319.95464852607711</v>
      </c>
    </row>
    <row r="32" spans="1:6" x14ac:dyDescent="0.25">
      <c r="A32" s="7">
        <v>7.4999999999999997E-2</v>
      </c>
      <c r="B32" s="3">
        <f t="shared" si="1"/>
        <v>191.18442401298</v>
      </c>
      <c r="C32" s="3">
        <f t="shared" si="2"/>
        <v>283.99134667387784</v>
      </c>
    </row>
    <row r="33" spans="1:3" x14ac:dyDescent="0.25">
      <c r="A33" s="7">
        <v>0.1</v>
      </c>
      <c r="B33" s="3">
        <f t="shared" si="1"/>
        <v>173.55371900826435</v>
      </c>
      <c r="C33" s="3">
        <f t="shared" si="2"/>
        <v>250.41322314049569</v>
      </c>
    </row>
    <row r="34" spans="1:3" x14ac:dyDescent="0.25">
      <c r="A34" s="7">
        <v>0.125</v>
      </c>
      <c r="B34" s="3">
        <f t="shared" si="1"/>
        <v>156.79012345679018</v>
      </c>
      <c r="C34" s="3">
        <f t="shared" si="2"/>
        <v>219.01234567901236</v>
      </c>
    </row>
    <row r="35" spans="1:3" x14ac:dyDescent="0.25">
      <c r="A35" s="7">
        <v>0.15</v>
      </c>
      <c r="B35" s="3">
        <f t="shared" si="1"/>
        <v>140.83175803402662</v>
      </c>
      <c r="C35" s="3">
        <f t="shared" si="2"/>
        <v>189.60302457466923</v>
      </c>
    </row>
    <row r="36" spans="1:3" x14ac:dyDescent="0.25">
      <c r="A36" s="7">
        <v>0.17499999999999999</v>
      </c>
      <c r="B36" s="3">
        <f t="shared" si="1"/>
        <v>125.62245359891358</v>
      </c>
      <c r="C36" s="3">
        <f t="shared" si="2"/>
        <v>162.01901312811219</v>
      </c>
    </row>
    <row r="37" spans="1:3" x14ac:dyDescent="0.25">
      <c r="A37" s="7">
        <v>0.2</v>
      </c>
      <c r="B37" s="3">
        <f t="shared" si="1"/>
        <v>111.1111111111112</v>
      </c>
      <c r="C37" s="3">
        <f t="shared" si="2"/>
        <v>136.1111111111112</v>
      </c>
    </row>
    <row r="38" spans="1:3" x14ac:dyDescent="0.25">
      <c r="A38" s="7">
        <v>0.22500000000000001</v>
      </c>
      <c r="B38" s="3">
        <f t="shared" si="1"/>
        <v>97.251145356101574</v>
      </c>
      <c r="C38" s="3">
        <f t="shared" si="2"/>
        <v>111.74510620574745</v>
      </c>
    </row>
    <row r="39" spans="1:3" x14ac:dyDescent="0.25">
      <c r="A39" s="7">
        <v>0.25</v>
      </c>
      <c r="B39" s="3">
        <f t="shared" si="1"/>
        <v>84</v>
      </c>
      <c r="C39" s="3">
        <f t="shared" si="2"/>
        <v>88.799999999999955</v>
      </c>
    </row>
    <row r="40" spans="1:3" x14ac:dyDescent="0.25">
      <c r="A40" s="7">
        <v>0.27500000000000002</v>
      </c>
      <c r="B40" s="3">
        <f t="shared" si="1"/>
        <v>71.318723567858569</v>
      </c>
      <c r="C40" s="3">
        <f t="shared" si="2"/>
        <v>67.166474432910491</v>
      </c>
    </row>
    <row r="41" spans="1:3" x14ac:dyDescent="0.25">
      <c r="A41" s="7">
        <v>0.3</v>
      </c>
      <c r="B41" s="3">
        <f t="shared" si="1"/>
        <v>59.171597633136116</v>
      </c>
      <c r="C41" s="3">
        <f t="shared" si="2"/>
        <v>46.745562130177404</v>
      </c>
    </row>
    <row r="42" spans="1:3" x14ac:dyDescent="0.25">
      <c r="A42" s="7">
        <v>0.32500000000000001</v>
      </c>
      <c r="B42" s="3">
        <f t="shared" si="1"/>
        <v>47.525809896760506</v>
      </c>
      <c r="C42" s="3">
        <f t="shared" si="2"/>
        <v>27.447490210039177</v>
      </c>
    </row>
    <row r="43" spans="1:3" x14ac:dyDescent="0.25">
      <c r="A43" s="7">
        <v>0.35</v>
      </c>
      <c r="B43" s="3">
        <f t="shared" si="1"/>
        <v>36.351165980795599</v>
      </c>
      <c r="C43" s="3">
        <f t="shared" si="2"/>
        <v>9.1906721536350915</v>
      </c>
    </row>
    <row r="44" spans="1:3" x14ac:dyDescent="0.25">
      <c r="A44" s="7">
        <v>0.375</v>
      </c>
      <c r="B44" s="3">
        <f t="shared" si="1"/>
        <v>25.619834710743817</v>
      </c>
      <c r="C44" s="3">
        <f t="shared" si="2"/>
        <v>-8.0991735537190266</v>
      </c>
    </row>
    <row r="45" spans="1:3" x14ac:dyDescent="0.25">
      <c r="A45" s="7">
        <v>0.4</v>
      </c>
      <c r="B45" s="3">
        <f t="shared" si="1"/>
        <v>15.306122448979636</v>
      </c>
      <c r="C45" s="3">
        <f t="shared" si="2"/>
        <v>-24.489795918367292</v>
      </c>
    </row>
    <row r="46" spans="1:3" x14ac:dyDescent="0.25">
      <c r="A46" s="7">
        <v>0.42499999999999999</v>
      </c>
      <c r="B46" s="3">
        <f t="shared" si="1"/>
        <v>5.3862726992920216</v>
      </c>
      <c r="C46" s="3">
        <f t="shared" si="2"/>
        <v>-40.04309018159438</v>
      </c>
    </row>
    <row r="47" spans="1:3" x14ac:dyDescent="0.25">
      <c r="A47" s="7">
        <v>0.45</v>
      </c>
      <c r="B47" s="3">
        <f t="shared" si="1"/>
        <v>-4.1617122473246013</v>
      </c>
      <c r="C47" s="3">
        <f t="shared" si="2"/>
        <v>-54.815695600475635</v>
      </c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0"/>
  <sheetViews>
    <sheetView workbookViewId="0">
      <selection activeCell="A19" sqref="A19:G30"/>
    </sheetView>
  </sheetViews>
  <sheetFormatPr defaultRowHeight="15" x14ac:dyDescent="0.25"/>
  <cols>
    <col min="2" max="2" width="12.85546875" bestFit="1" customWidth="1"/>
  </cols>
  <sheetData>
    <row r="4" spans="1:7" x14ac:dyDescent="0.25">
      <c r="A4" s="4" t="s">
        <v>29</v>
      </c>
      <c r="B4" s="4"/>
      <c r="C4" s="4"/>
      <c r="D4" s="4"/>
      <c r="E4" s="4"/>
      <c r="F4" s="4"/>
      <c r="G4" s="4"/>
    </row>
    <row r="5" spans="1:7" x14ac:dyDescent="0.25">
      <c r="A5" s="4" t="s">
        <v>30</v>
      </c>
      <c r="B5" s="4" t="s">
        <v>2</v>
      </c>
      <c r="C5" s="10" t="s">
        <v>4</v>
      </c>
      <c r="D5" s="10" t="s">
        <v>5</v>
      </c>
      <c r="E5" s="10" t="s">
        <v>6</v>
      </c>
      <c r="F5" s="10" t="s">
        <v>32</v>
      </c>
      <c r="G5" s="10" t="s">
        <v>33</v>
      </c>
    </row>
    <row r="6" spans="1:7" x14ac:dyDescent="0.25">
      <c r="A6" t="s">
        <v>7</v>
      </c>
      <c r="B6" s="1">
        <v>-1200</v>
      </c>
      <c r="C6" s="1">
        <v>200</v>
      </c>
      <c r="D6" s="1">
        <v>400</v>
      </c>
      <c r="E6" s="1">
        <v>400</v>
      </c>
      <c r="F6" s="1">
        <v>600</v>
      </c>
      <c r="G6" s="1">
        <v>600</v>
      </c>
    </row>
    <row r="8" spans="1:7" x14ac:dyDescent="0.25">
      <c r="A8" s="10" t="s">
        <v>30</v>
      </c>
      <c r="B8" s="10" t="s">
        <v>9</v>
      </c>
      <c r="C8" s="10" t="s">
        <v>10</v>
      </c>
      <c r="D8" s="10" t="s">
        <v>34</v>
      </c>
      <c r="E8" s="10" t="s">
        <v>35</v>
      </c>
    </row>
    <row r="9" spans="1:7" x14ac:dyDescent="0.25">
      <c r="A9" s="9" t="s">
        <v>7</v>
      </c>
      <c r="B9" s="1">
        <f>NPV($D$11,C6:G6)+B6</f>
        <v>142.98449101998176</v>
      </c>
      <c r="C9" s="7">
        <f>IRR(B6:G6)</f>
        <v>0.20204142452485385</v>
      </c>
      <c r="D9" s="11">
        <f>NPV($D$11,C6:G6)/-B6</f>
        <v>1.1191537425166516</v>
      </c>
      <c r="E9" s="7">
        <f>B9/-B6</f>
        <v>0.11915374251665146</v>
      </c>
    </row>
    <row r="11" spans="1:7" x14ac:dyDescent="0.25">
      <c r="A11" s="12" t="s">
        <v>37</v>
      </c>
      <c r="D11" s="6">
        <v>0.16</v>
      </c>
    </row>
    <row r="17" spans="1:7" x14ac:dyDescent="0.25">
      <c r="A17" s="4" t="s">
        <v>28</v>
      </c>
    </row>
    <row r="19" spans="1:7" x14ac:dyDescent="0.25">
      <c r="A19" s="4" t="s">
        <v>29</v>
      </c>
      <c r="B19" s="4"/>
      <c r="C19" s="4"/>
      <c r="D19" s="4"/>
      <c r="E19" s="4"/>
      <c r="F19" s="4"/>
      <c r="G19" s="4"/>
    </row>
    <row r="20" spans="1:7" x14ac:dyDescent="0.25">
      <c r="A20" s="4" t="s">
        <v>30</v>
      </c>
      <c r="B20" s="4" t="s">
        <v>2</v>
      </c>
      <c r="C20" s="10" t="s">
        <v>4</v>
      </c>
      <c r="D20" s="10" t="s">
        <v>5</v>
      </c>
      <c r="E20" s="10" t="s">
        <v>6</v>
      </c>
      <c r="F20" s="10" t="s">
        <v>32</v>
      </c>
      <c r="G20" s="10" t="s">
        <v>33</v>
      </c>
    </row>
    <row r="21" spans="1:7" x14ac:dyDescent="0.25">
      <c r="A21" t="s">
        <v>7</v>
      </c>
      <c r="B21" s="1">
        <v>-100</v>
      </c>
      <c r="C21" s="1">
        <v>30</v>
      </c>
      <c r="D21" s="1">
        <v>34</v>
      </c>
      <c r="E21" s="1">
        <v>35</v>
      </c>
      <c r="F21" s="1">
        <v>35</v>
      </c>
      <c r="G21" s="1">
        <v>38</v>
      </c>
    </row>
    <row r="22" spans="1:7" x14ac:dyDescent="0.25">
      <c r="A22" t="s">
        <v>8</v>
      </c>
      <c r="B22" s="1">
        <v>-200</v>
      </c>
      <c r="C22" s="1">
        <v>68</v>
      </c>
      <c r="D22" s="1">
        <v>68</v>
      </c>
      <c r="E22" s="1">
        <v>66</v>
      </c>
      <c r="F22" s="1">
        <v>64</v>
      </c>
      <c r="G22" s="1">
        <v>64</v>
      </c>
    </row>
    <row r="23" spans="1:7" x14ac:dyDescent="0.25">
      <c r="A23" t="s">
        <v>31</v>
      </c>
      <c r="B23" s="1">
        <v>-180</v>
      </c>
      <c r="C23" s="1">
        <v>50</v>
      </c>
      <c r="D23" s="1">
        <v>54</v>
      </c>
      <c r="E23" s="1">
        <v>58</v>
      </c>
      <c r="F23" s="1">
        <v>60</v>
      </c>
      <c r="G23" s="1">
        <v>62</v>
      </c>
    </row>
    <row r="25" spans="1:7" x14ac:dyDescent="0.25">
      <c r="A25" s="10" t="s">
        <v>30</v>
      </c>
      <c r="B25" s="10" t="s">
        <v>9</v>
      </c>
      <c r="C25" s="10" t="s">
        <v>10</v>
      </c>
      <c r="D25" s="10" t="s">
        <v>34</v>
      </c>
      <c r="E25" s="10" t="s">
        <v>35</v>
      </c>
      <c r="F25" s="10" t="s">
        <v>36</v>
      </c>
    </row>
    <row r="26" spans="1:7" x14ac:dyDescent="0.25">
      <c r="A26" s="9" t="s">
        <v>7</v>
      </c>
      <c r="B26" s="1">
        <f>NPV($D$30,C21:G21)+B21</f>
        <v>5.8068408163030085</v>
      </c>
      <c r="C26" s="7">
        <f>IRR(B21:G21)</f>
        <v>0.20443970536458012</v>
      </c>
      <c r="D26" s="11">
        <f>NPV($D$30,C21:G21)/-B21</f>
        <v>1.05806840816303</v>
      </c>
      <c r="E26" s="7">
        <f>B26/-B21</f>
        <v>5.8068408163030084E-2</v>
      </c>
      <c r="F26" t="s">
        <v>38</v>
      </c>
    </row>
    <row r="27" spans="1:7" x14ac:dyDescent="0.25">
      <c r="A27" s="9" t="s">
        <v>8</v>
      </c>
      <c r="B27" s="1">
        <f t="shared" ref="B27:B28" si="0">NPV($D$30,C22:G22)+B22</f>
        <v>7.6187753131608247</v>
      </c>
      <c r="C27" s="7">
        <f t="shared" ref="C27:C28" si="1">IRR(B22:G22)</f>
        <v>0.19692921404290642</v>
      </c>
      <c r="D27" s="11">
        <f t="shared" ref="D27:D28" si="2">NPV($D$30,C22:G22)/-B22</f>
        <v>1.0380938765658041</v>
      </c>
      <c r="E27" s="7">
        <f t="shared" ref="E27:E28" si="3">B27/-B22</f>
        <v>3.8093876565804125E-2</v>
      </c>
      <c r="F27" t="s">
        <v>38</v>
      </c>
    </row>
    <row r="28" spans="1:7" x14ac:dyDescent="0.25">
      <c r="A28" s="9" t="s">
        <v>31</v>
      </c>
      <c r="B28" s="1">
        <f t="shared" si="0"/>
        <v>-5.4964649061396074</v>
      </c>
      <c r="C28" s="7">
        <f t="shared" si="1"/>
        <v>0.16696058533927172</v>
      </c>
      <c r="D28" s="11">
        <f t="shared" si="2"/>
        <v>0.96946408385478</v>
      </c>
      <c r="E28" s="7">
        <f t="shared" si="3"/>
        <v>-3.0535916145220041E-2</v>
      </c>
      <c r="F28" t="s">
        <v>39</v>
      </c>
    </row>
    <row r="30" spans="1:7" x14ac:dyDescent="0.25">
      <c r="A30" s="12" t="s">
        <v>37</v>
      </c>
      <c r="D30" s="6">
        <v>0.18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L15" sqref="L15"/>
    </sheetView>
  </sheetViews>
  <sheetFormatPr defaultRowHeight="15" x14ac:dyDescent="0.25"/>
  <cols>
    <col min="12" max="12" width="12.42578125" bestFit="1" customWidth="1"/>
  </cols>
  <sheetData>
    <row r="2" spans="1:12" x14ac:dyDescent="0.25">
      <c r="A2" s="4" t="s">
        <v>52</v>
      </c>
    </row>
    <row r="4" spans="1:12" x14ac:dyDescent="0.25">
      <c r="A4" s="4" t="s">
        <v>29</v>
      </c>
      <c r="B4" s="4"/>
      <c r="C4" s="4"/>
      <c r="D4" s="4"/>
      <c r="E4" s="4"/>
      <c r="F4" s="4"/>
      <c r="G4" s="4"/>
    </row>
    <row r="5" spans="1:12" x14ac:dyDescent="0.25">
      <c r="A5" s="4" t="s">
        <v>30</v>
      </c>
      <c r="B5" s="4" t="s">
        <v>2</v>
      </c>
      <c r="C5" s="10" t="s">
        <v>4</v>
      </c>
      <c r="D5" s="10" t="s">
        <v>5</v>
      </c>
      <c r="E5" s="10" t="s">
        <v>6</v>
      </c>
      <c r="F5" s="10" t="s">
        <v>32</v>
      </c>
      <c r="G5" s="10"/>
    </row>
    <row r="6" spans="1:12" x14ac:dyDescent="0.25">
      <c r="A6" t="s">
        <v>31</v>
      </c>
      <c r="B6" s="1">
        <v>-300</v>
      </c>
      <c r="C6" s="1">
        <v>140</v>
      </c>
      <c r="D6" s="1">
        <v>160</v>
      </c>
      <c r="E6" s="1">
        <v>200</v>
      </c>
      <c r="F6" s="1">
        <v>43.5</v>
      </c>
      <c r="G6" s="1"/>
    </row>
    <row r="7" spans="1:12" x14ac:dyDescent="0.25">
      <c r="A7" t="s">
        <v>53</v>
      </c>
      <c r="B7" s="1">
        <v>-600</v>
      </c>
      <c r="C7" s="1">
        <v>220</v>
      </c>
      <c r="D7" s="1">
        <v>150</v>
      </c>
      <c r="E7" s="1">
        <v>615.20000000000005</v>
      </c>
      <c r="F7" s="1">
        <v>43.5</v>
      </c>
      <c r="G7" s="1"/>
    </row>
    <row r="9" spans="1:12" x14ac:dyDescent="0.25">
      <c r="A9" s="10" t="s">
        <v>30</v>
      </c>
      <c r="B9" s="10" t="s">
        <v>9</v>
      </c>
      <c r="C9" s="10" t="s">
        <v>10</v>
      </c>
      <c r="D9" s="10" t="s">
        <v>34</v>
      </c>
      <c r="E9" s="10" t="s">
        <v>35</v>
      </c>
      <c r="F9" s="10" t="s">
        <v>36</v>
      </c>
    </row>
    <row r="10" spans="1:12" x14ac:dyDescent="0.25">
      <c r="A10" s="9" t="s">
        <v>7</v>
      </c>
      <c r="B10" s="1">
        <f>NPV($D$14,C6:F6)+B6</f>
        <v>64.496527777777828</v>
      </c>
      <c r="C10" s="7">
        <f>IRR(B6:F6)</f>
        <v>0.31821052906004521</v>
      </c>
      <c r="D10" s="11">
        <f>NPV($D$14,C6:F6)/-B6</f>
        <v>1.214988425925926</v>
      </c>
      <c r="E10" s="7">
        <f>B10/-B6</f>
        <v>0.2149884259259261</v>
      </c>
      <c r="F10" t="s">
        <v>38</v>
      </c>
    </row>
    <row r="11" spans="1:12" x14ac:dyDescent="0.25">
      <c r="A11" s="9" t="s">
        <v>8</v>
      </c>
      <c r="B11" s="1">
        <f>NPV($D$14,C7:F7)+B7</f>
        <v>64.496527777777828</v>
      </c>
      <c r="C11" s="7">
        <f>IRR(B7:F7)</f>
        <v>0.25436227087499419</v>
      </c>
      <c r="D11" s="11">
        <f>NPV($D$14,C7:F7)/-B7</f>
        <v>1.107494212962963</v>
      </c>
      <c r="E11" s="7">
        <f>B11/-B7</f>
        <v>0.10749421296296305</v>
      </c>
      <c r="F11" t="s">
        <v>38</v>
      </c>
    </row>
    <row r="12" spans="1:12" x14ac:dyDescent="0.25">
      <c r="A12" s="9"/>
      <c r="B12" s="1"/>
      <c r="C12" s="7"/>
      <c r="D12" s="11"/>
      <c r="E12" s="7"/>
    </row>
    <row r="14" spans="1:12" x14ac:dyDescent="0.25">
      <c r="A14" s="12" t="s">
        <v>37</v>
      </c>
      <c r="D14" s="6">
        <v>0.2</v>
      </c>
    </row>
    <row r="15" spans="1:12" x14ac:dyDescent="0.25">
      <c r="L15" s="19">
        <f>PMT(0.12,2,,31100)</f>
        <v>-14669.811320754719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3" sqref="M13"/>
    </sheetView>
  </sheetViews>
  <sheetFormatPr defaultRowHeight="15" x14ac:dyDescent="0.25"/>
  <cols>
    <col min="3" max="3" width="16.28515625" bestFit="1" customWidth="1"/>
    <col min="4" max="4" width="19.140625" bestFit="1" customWidth="1"/>
    <col min="5" max="5" width="26.28515625" customWidth="1"/>
    <col min="6" max="6" width="21.7109375" customWidth="1"/>
    <col min="7" max="7" width="24.5703125" customWidth="1"/>
  </cols>
  <sheetData>
    <row r="1" spans="1:7" x14ac:dyDescent="0.25">
      <c r="A1" s="4" t="s">
        <v>54</v>
      </c>
    </row>
    <row r="4" spans="1:7" x14ac:dyDescent="0.25">
      <c r="C4" s="4" t="s">
        <v>55</v>
      </c>
      <c r="D4" s="4" t="s">
        <v>56</v>
      </c>
      <c r="F4" t="s">
        <v>63</v>
      </c>
    </row>
    <row r="5" spans="1:7" x14ac:dyDescent="0.25">
      <c r="B5" t="s">
        <v>4</v>
      </c>
      <c r="C5" s="13">
        <v>35000</v>
      </c>
      <c r="D5" s="13">
        <v>10800</v>
      </c>
      <c r="F5" s="13">
        <f>D5/(1+$C$11)^A14</f>
        <v>9642.8571428571413</v>
      </c>
    </row>
    <row r="6" spans="1:7" x14ac:dyDescent="0.25">
      <c r="B6" t="s">
        <v>5</v>
      </c>
      <c r="C6" s="13">
        <v>31100</v>
      </c>
      <c r="D6" s="13">
        <v>14400</v>
      </c>
      <c r="F6" s="13">
        <f t="shared" ref="F6:F9" si="0">D6/(1+$C$11)^A15</f>
        <v>11479.591836734693</v>
      </c>
    </row>
    <row r="7" spans="1:7" x14ac:dyDescent="0.25">
      <c r="B7" t="s">
        <v>6</v>
      </c>
      <c r="C7" s="13">
        <v>26700</v>
      </c>
      <c r="D7" s="13">
        <v>19600</v>
      </c>
      <c r="F7" s="13">
        <f t="shared" si="0"/>
        <v>13950.892857142853</v>
      </c>
    </row>
    <row r="8" spans="1:7" x14ac:dyDescent="0.25">
      <c r="B8" t="s">
        <v>32</v>
      </c>
      <c r="C8" s="13">
        <v>20500</v>
      </c>
      <c r="D8" s="13">
        <v>26900</v>
      </c>
      <c r="F8" s="13">
        <f t="shared" si="0"/>
        <v>17095.436309089957</v>
      </c>
    </row>
    <row r="9" spans="1:7" x14ac:dyDescent="0.25">
      <c r="B9" t="s">
        <v>33</v>
      </c>
      <c r="C9" s="13">
        <v>15400</v>
      </c>
      <c r="D9" s="13">
        <v>34100</v>
      </c>
      <c r="F9" s="13">
        <f t="shared" si="0"/>
        <v>19349.255780004234</v>
      </c>
    </row>
    <row r="11" spans="1:7" x14ac:dyDescent="0.25">
      <c r="B11" t="s">
        <v>57</v>
      </c>
      <c r="C11" s="6">
        <v>0.12</v>
      </c>
      <c r="D11" t="s">
        <v>48</v>
      </c>
    </row>
    <row r="13" spans="1:7" ht="45" x14ac:dyDescent="0.25">
      <c r="A13" s="20"/>
      <c r="B13" s="20"/>
      <c r="C13" s="21" t="s">
        <v>58</v>
      </c>
      <c r="D13" s="21" t="s">
        <v>59</v>
      </c>
      <c r="E13" s="21" t="s">
        <v>60</v>
      </c>
      <c r="F13" s="21" t="s">
        <v>62</v>
      </c>
      <c r="G13" s="21" t="s">
        <v>61</v>
      </c>
    </row>
    <row r="14" spans="1:7" x14ac:dyDescent="0.25">
      <c r="A14" s="22">
        <v>1</v>
      </c>
      <c r="B14" s="22" t="s">
        <v>4</v>
      </c>
      <c r="C14" s="23">
        <f>FV(C11,A14,0,-42000)</f>
        <v>47040.000000000007</v>
      </c>
      <c r="D14" s="23">
        <f>C5</f>
        <v>35000</v>
      </c>
      <c r="E14" s="23">
        <f>C14-D14</f>
        <v>12040.000000000007</v>
      </c>
      <c r="F14" s="23">
        <f>D5</f>
        <v>10800</v>
      </c>
      <c r="G14" s="23">
        <f>E14+F14</f>
        <v>22840.000000000007</v>
      </c>
    </row>
    <row r="15" spans="1:7" x14ac:dyDescent="0.25">
      <c r="A15" s="22">
        <v>2</v>
      </c>
      <c r="B15" s="22" t="s">
        <v>5</v>
      </c>
      <c r="C15" s="23">
        <f>PMT($C$11,A15,-42000,,)</f>
        <v>24851.320754716984</v>
      </c>
      <c r="D15" s="23">
        <f>PMT($C$11,A15,,-C6)</f>
        <v>14669.811320754719</v>
      </c>
      <c r="E15" s="23">
        <f t="shared" ref="E15:E18" si="1">C15-D15</f>
        <v>10181.509433962265</v>
      </c>
      <c r="F15" s="23">
        <f>PMT($C$11,A15,-(F5+F6),,)</f>
        <v>12498.113207547171</v>
      </c>
      <c r="G15" s="24">
        <f t="shared" ref="G15:G18" si="2">E15+F15</f>
        <v>22679.622641509435</v>
      </c>
    </row>
    <row r="16" spans="1:7" x14ac:dyDescent="0.25">
      <c r="A16" s="22">
        <v>3</v>
      </c>
      <c r="B16" s="22" t="s">
        <v>6</v>
      </c>
      <c r="C16" s="23">
        <f t="shared" ref="C16:C18" si="3">PMT($C$11,A16,-42000,,)</f>
        <v>17486.657183499286</v>
      </c>
      <c r="D16" s="23">
        <f t="shared" ref="D16:D18" si="4">PMT($C$11,A16,,-C7)</f>
        <v>7912.5177809388342</v>
      </c>
      <c r="E16" s="23">
        <f t="shared" si="1"/>
        <v>9574.1394025604532</v>
      </c>
      <c r="F16" s="23">
        <f>PMT($C$11,A16,-(F5+F6+F7),,)</f>
        <v>14602.75011853959</v>
      </c>
      <c r="G16" s="23">
        <f t="shared" si="2"/>
        <v>24176.889521100042</v>
      </c>
    </row>
    <row r="17" spans="1:7" x14ac:dyDescent="0.25">
      <c r="A17" s="22">
        <v>4</v>
      </c>
      <c r="B17" s="22" t="s">
        <v>32</v>
      </c>
      <c r="C17" s="23">
        <f t="shared" si="3"/>
        <v>13827.846324838976</v>
      </c>
      <c r="D17" s="23">
        <f t="shared" si="4"/>
        <v>4289.3059442666427</v>
      </c>
      <c r="E17" s="23">
        <f t="shared" si="1"/>
        <v>9538.5403805723327</v>
      </c>
      <c r="F17" s="23">
        <f>PMT($C$11,A17,-(F5+F6+F7+F8),,)</f>
        <v>17175.758265597171</v>
      </c>
      <c r="G17" s="23">
        <f t="shared" si="2"/>
        <v>26714.298646169504</v>
      </c>
    </row>
    <row r="18" spans="1:7" x14ac:dyDescent="0.25">
      <c r="A18" s="22">
        <v>5</v>
      </c>
      <c r="B18" s="22" t="s">
        <v>33</v>
      </c>
      <c r="C18" s="23">
        <f t="shared" si="3"/>
        <v>11651.208741524055</v>
      </c>
      <c r="D18" s="23">
        <f t="shared" si="4"/>
        <v>2424.1098718921535</v>
      </c>
      <c r="E18" s="23">
        <f t="shared" si="1"/>
        <v>9227.0988696319018</v>
      </c>
      <c r="F18" s="23">
        <f>PMT($C$11,A18,-(F5+F6+F7+F8+F9),,)</f>
        <v>19839.798620315029</v>
      </c>
      <c r="G18" s="23">
        <f t="shared" si="2"/>
        <v>29066.897489946932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NPV</vt:lpstr>
      <vt:lpstr>Problema da escala</vt:lpstr>
      <vt:lpstr>Problema da dist FlCx no tempo</vt:lpstr>
      <vt:lpstr>Comparacao de Projetos Independ</vt:lpstr>
      <vt:lpstr>VPL e restrições de capital</vt:lpstr>
      <vt:lpstr>Substituicao de ativos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Maria Bortolon</dc:creator>
  <cp:lastModifiedBy>Patrica Maria Bortolon</cp:lastModifiedBy>
  <dcterms:created xsi:type="dcterms:W3CDTF">2011-06-13T18:46:43Z</dcterms:created>
  <dcterms:modified xsi:type="dcterms:W3CDTF">2014-02-17T18:46:24Z</dcterms:modified>
</cp:coreProperties>
</file>